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6"/>
  </bookViews>
  <sheets>
    <sheet name="标志" sheetId="2" r:id="rId1"/>
    <sheet name="标线" sheetId="3" r:id="rId2"/>
    <sheet name="护栏" sheetId="4" r:id="rId3"/>
    <sheet name="轮廓标" sheetId="5" r:id="rId4"/>
    <sheet name="防眩板" sheetId="6" r:id="rId5"/>
    <sheet name="隔离栅" sheetId="7" r:id="rId6"/>
    <sheet name="其他安全设施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<sst xmlns="http://schemas.openxmlformats.org/spreadsheetml/2006/main" count="189" uniqueCount="112">
  <si>
    <t>序号</t>
  </si>
  <si>
    <t>结构类型</t>
  </si>
  <si>
    <t>内容</t>
  </si>
  <si>
    <t>尺寸（cm）</t>
  </si>
  <si>
    <t>单位</t>
  </si>
  <si>
    <t>数量</t>
  </si>
  <si>
    <t>连接线一主线</t>
  </si>
  <si>
    <t>K5+325互通</t>
  </si>
  <si>
    <t>K9+300互通</t>
  </si>
  <si>
    <t>K16+700互通</t>
  </si>
  <si>
    <t>K23+300互通</t>
  </si>
  <si>
    <t>K33+700互通</t>
  </si>
  <si>
    <t>连接线二</t>
  </si>
  <si>
    <t>连接线3</t>
  </si>
  <si>
    <t>连接线4</t>
  </si>
  <si>
    <t>连接线5</t>
  </si>
  <si>
    <t>连接线8</t>
  </si>
  <si>
    <t>连接线9</t>
  </si>
  <si>
    <t>连接线10</t>
  </si>
  <si>
    <t>单柱式标志</t>
  </si>
  <si>
    <t>注意合流</t>
  </si>
  <si>
    <t>△130</t>
  </si>
  <si>
    <t>套</t>
  </si>
  <si>
    <t>高速编号</t>
  </si>
  <si>
    <t>125×72+125×120</t>
  </si>
  <si>
    <t>出口限速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</si>
  <si>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0</t>
    </r>
    <r>
      <rPr>
        <sz val="12"/>
        <rFont val="宋体"/>
        <charset val="134"/>
      </rPr>
      <t>0×</t>
    </r>
    <r>
      <rPr>
        <sz val="12"/>
        <rFont val="宋体"/>
        <charset val="134"/>
      </rPr>
      <t>10</t>
    </r>
    <r>
      <rPr>
        <sz val="12"/>
        <rFont val="宋体"/>
        <charset val="134"/>
      </rPr>
      <t>0+</t>
    </r>
    <r>
      <rPr>
        <sz val="12"/>
        <rFont val="宋体"/>
        <charset val="134"/>
      </rPr>
      <t>100</t>
    </r>
    <r>
      <rPr>
        <sz val="12"/>
        <rFont val="宋体"/>
        <charset val="134"/>
      </rPr>
      <t>×</t>
    </r>
    <r>
      <rPr>
        <sz val="12"/>
        <rFont val="宋体"/>
        <charset val="134"/>
      </rPr>
      <t>90</t>
    </r>
  </si>
  <si>
    <t>视线诱导标志</t>
  </si>
  <si>
    <t>60×80</t>
  </si>
  <si>
    <r>
      <rPr>
        <sz val="12"/>
        <rFont val="宋体"/>
        <charset val="134"/>
      </rPr>
      <t>客车E</t>
    </r>
    <r>
      <rPr>
        <sz val="12"/>
        <rFont val="宋体"/>
        <charset val="134"/>
      </rPr>
      <t>TC车道指示标志</t>
    </r>
  </si>
  <si>
    <t>120×60+120×170</t>
  </si>
  <si>
    <t>免费放行界标志</t>
  </si>
  <si>
    <r>
      <rPr>
        <sz val="12"/>
        <rFont val="宋体"/>
        <charset val="134"/>
      </rPr>
      <t>60×</t>
    </r>
    <r>
      <rPr>
        <sz val="12"/>
        <rFont val="宋体"/>
        <charset val="134"/>
      </rPr>
      <t>230</t>
    </r>
  </si>
  <si>
    <t>双柱式标志</t>
  </si>
  <si>
    <t>组合禁令标志</t>
  </si>
  <si>
    <t>360×360</t>
  </si>
  <si>
    <t>收费站标志</t>
  </si>
  <si>
    <t>分车型限速标志+全程测速标志</t>
  </si>
  <si>
    <t>410×370+410×110</t>
  </si>
  <si>
    <t>桥梁名称标志</t>
  </si>
  <si>
    <t>380×240</t>
  </si>
  <si>
    <t>告示标志（系安全带）</t>
  </si>
  <si>
    <t>350×350</t>
  </si>
  <si>
    <t>组合禁令标志（互通）</t>
  </si>
  <si>
    <t>单悬臂</t>
  </si>
  <si>
    <t>货车靠右超限检测标志</t>
  </si>
  <si>
    <t>360×200</t>
  </si>
  <si>
    <t>下一出口预告标志</t>
  </si>
  <si>
    <t>辅助标志（雨雾冰雪减速慢行）</t>
  </si>
  <si>
    <t>360×220</t>
  </si>
  <si>
    <t>500m出口预告标志+出口编号标志</t>
  </si>
  <si>
    <t>520×390+160×82</t>
  </si>
  <si>
    <t>1km出口预告标志+出口编号标志</t>
  </si>
  <si>
    <t>2km出口预告标志+出口编号标志</t>
  </si>
  <si>
    <t>3km出口预告标志+出口编号标志</t>
  </si>
  <si>
    <t>告示标志（请勿疲劳驾驶）</t>
  </si>
  <si>
    <t>480×330</t>
  </si>
  <si>
    <t>救援电话及交通信息标志</t>
  </si>
  <si>
    <t>460×460</t>
  </si>
  <si>
    <t>指路标志</t>
  </si>
  <si>
    <t>525*300</t>
  </si>
  <si>
    <t>车道指示</t>
  </si>
  <si>
    <t>525*230</t>
  </si>
  <si>
    <t>限速标志</t>
  </si>
  <si>
    <t>2-φ120</t>
  </si>
  <si>
    <t>双悬臂</t>
  </si>
  <si>
    <t>出口地点方向标志+出口编号标志</t>
  </si>
  <si>
    <t>2×360×290+160×82</t>
  </si>
  <si>
    <t>出口地点方向标志</t>
  </si>
  <si>
    <t>2×360×290+2×180×92</t>
  </si>
  <si>
    <t>地点方向标志</t>
  </si>
  <si>
    <t>2×360×290</t>
  </si>
  <si>
    <t>门架标志</t>
  </si>
  <si>
    <t>直达方向标志+2.4km出口预告标志+出口编号标志</t>
  </si>
  <si>
    <r>
      <rPr>
        <sz val="12"/>
        <rFont val="宋体"/>
        <charset val="134"/>
      </rPr>
      <t>3</t>
    </r>
    <r>
      <rPr>
        <sz val="12"/>
        <rFont val="宋体"/>
        <charset val="134"/>
      </rPr>
      <t>9</t>
    </r>
    <r>
      <rPr>
        <sz val="12"/>
        <rFont val="宋体"/>
        <charset val="134"/>
      </rPr>
      <t>0×3</t>
    </r>
    <r>
      <rPr>
        <sz val="12"/>
        <rFont val="宋体"/>
        <charset val="134"/>
      </rPr>
      <t>9</t>
    </r>
    <r>
      <rPr>
        <sz val="12"/>
        <rFont val="宋体"/>
        <charset val="134"/>
      </rPr>
      <t>0+</t>
    </r>
    <r>
      <rPr>
        <sz val="12"/>
        <rFont val="宋体"/>
        <charset val="134"/>
      </rPr>
      <t>520</t>
    </r>
    <r>
      <rPr>
        <sz val="12"/>
        <rFont val="宋体"/>
        <charset val="134"/>
      </rPr>
      <t>×</t>
    </r>
    <r>
      <rPr>
        <sz val="12"/>
        <rFont val="宋体"/>
        <charset val="134"/>
      </rPr>
      <t>390+160×82</t>
    </r>
  </si>
  <si>
    <t>车道指示标志</t>
  </si>
  <si>
    <t>4×330×260</t>
  </si>
  <si>
    <t>附着式</t>
  </si>
  <si>
    <t>出口限速标志</t>
  </si>
  <si>
    <t>线形诱导标（两侧通行）</t>
  </si>
  <si>
    <t>60×120</t>
  </si>
  <si>
    <t>限高标志</t>
  </si>
  <si>
    <t>φ120</t>
  </si>
  <si>
    <t>合计</t>
  </si>
  <si>
    <t>道路序号</t>
  </si>
  <si>
    <t>路线长度（m）</t>
  </si>
  <si>
    <t>车道边缘线m2</t>
  </si>
  <si>
    <t>车道分界线m2</t>
  </si>
  <si>
    <t>导流线m2</t>
  </si>
  <si>
    <t>导向箭头m2</t>
  </si>
  <si>
    <t>3-3标线m2</t>
  </si>
  <si>
    <t>合计m2</t>
  </si>
  <si>
    <t>路线长度</t>
  </si>
  <si>
    <t>Gr-SB-4E护栏（m）</t>
  </si>
  <si>
    <t>Gr-SBm-4E护栏（m）</t>
  </si>
  <si>
    <t>轮廓标数量（个）</t>
  </si>
  <si>
    <r>
      <rPr>
        <sz val="11"/>
        <color theme="1"/>
        <rFont val="等线"/>
        <charset val="134"/>
        <scheme val="minor"/>
      </rPr>
      <t>m</t>
    </r>
    <r>
      <rPr>
        <vertAlign val="superscript"/>
        <sz val="11"/>
        <color theme="1"/>
        <rFont val="等线"/>
        <charset val="134"/>
        <scheme val="minor"/>
      </rPr>
      <t>2</t>
    </r>
  </si>
  <si>
    <t>道路编号</t>
  </si>
  <si>
    <t>桥梁中心桩号</t>
  </si>
  <si>
    <t>桥长</t>
  </si>
  <si>
    <t>防眩板（块）</t>
  </si>
  <si>
    <t>道路1</t>
  </si>
  <si>
    <t>道路2</t>
  </si>
  <si>
    <t>道路3</t>
  </si>
  <si>
    <t>路线长度m</t>
  </si>
  <si>
    <t>隔离栅（m）</t>
  </si>
  <si>
    <t>防撞垫（个）</t>
  </si>
  <si>
    <t>突起路标（个）</t>
  </si>
  <si>
    <t>防落物网（m）</t>
  </si>
  <si>
    <t>里程碑（个）</t>
  </si>
  <si>
    <t>百米牌（个）</t>
  </si>
  <si>
    <t>界碑（个）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</si>
</sst>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K&quot;##\+000.000"/>
    <numFmt numFmtId="178" formatCode="0.00_);[Red]\(0.00\)"/>
    <numFmt numFmtId="179" formatCode="0.0_);[Red]\(0.0\)"/>
    <numFmt numFmtId="180" formatCode="\G\K00\+000.000"/>
  </numFmts>
  <fonts count="23">
    <font>
      <sz val="11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0" fontId="0" fillId="0" borderId="2" xfId="0" applyBorder="1" applyAlignment="1">
      <alignment horizontal="center" vertical="center"/>
    </xf>
    <xf numFmtId="177" fontId="1" fillId="0" borderId="1" xfId="49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1" fillId="0" borderId="1" xfId="49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176" fontId="0" fillId="2" borderId="0" xfId="0" applyNumberFormat="1" applyFill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zoomScale="90" zoomScaleNormal="90" workbookViewId="0">
      <selection activeCell="D40" sqref="D40"/>
    </sheetView>
  </sheetViews>
  <sheetFormatPr defaultColWidth="9" defaultRowHeight="14.25"/>
  <cols>
    <col min="1" max="1" width="9" style="15"/>
    <col min="2" max="2" width="11.125" style="15" customWidth="1"/>
    <col min="3" max="3" width="40.5" style="15" customWidth="1"/>
    <col min="4" max="4" width="30.375" style="15" customWidth="1"/>
    <col min="5" max="5" width="4.375" style="15" customWidth="1"/>
    <col min="6" max="6" width="11.75" style="15" customWidth="1"/>
    <col min="7" max="7" width="11.25" style="15" customWidth="1"/>
    <col min="8" max="8" width="14" style="15" customWidth="1"/>
    <col min="9" max="9" width="12.125" style="15" customWidth="1"/>
    <col min="10" max="11" width="11.875" style="15" customWidth="1"/>
    <col min="12" max="12" width="9" style="15" customWidth="1"/>
    <col min="13" max="16384" width="9" style="15"/>
  </cols>
  <sheetData>
    <row r="1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6" t="s">
        <v>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>
      <c r="A2" s="8"/>
      <c r="B2" s="8"/>
      <c r="C2" s="8"/>
      <c r="D2" s="8"/>
      <c r="E2" s="8"/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/>
    </row>
    <row r="3" spans="1:19">
      <c r="A3" s="4">
        <v>1</v>
      </c>
      <c r="B3" s="4" t="s">
        <v>19</v>
      </c>
      <c r="C3" s="16" t="s">
        <v>20</v>
      </c>
      <c r="D3" s="16" t="s">
        <v>21</v>
      </c>
      <c r="E3" s="16" t="s">
        <v>22</v>
      </c>
      <c r="F3" s="16"/>
      <c r="G3" s="16">
        <v>8</v>
      </c>
      <c r="H3" s="16">
        <v>4</v>
      </c>
      <c r="I3" s="16">
        <v>4</v>
      </c>
      <c r="J3" s="16">
        <v>4</v>
      </c>
      <c r="K3" s="16">
        <v>6</v>
      </c>
      <c r="L3" s="16">
        <v>18</v>
      </c>
      <c r="M3" s="16">
        <v>1</v>
      </c>
      <c r="N3" s="16">
        <v>1</v>
      </c>
      <c r="O3" s="16"/>
      <c r="P3" s="16">
        <v>1</v>
      </c>
      <c r="Q3" s="16">
        <v>1</v>
      </c>
      <c r="R3" s="16">
        <v>1</v>
      </c>
      <c r="S3" s="16">
        <f>SUM(F3:R3)</f>
        <v>49</v>
      </c>
    </row>
    <row r="4" spans="1:19">
      <c r="A4" s="7"/>
      <c r="B4" s="7"/>
      <c r="C4" s="16" t="s">
        <v>23</v>
      </c>
      <c r="D4" s="17" t="s">
        <v>24</v>
      </c>
      <c r="E4" s="16" t="s">
        <v>22</v>
      </c>
      <c r="F4" s="16">
        <v>14</v>
      </c>
      <c r="G4" s="16"/>
      <c r="H4" s="16"/>
      <c r="I4" s="16"/>
      <c r="J4" s="16"/>
      <c r="K4" s="16"/>
      <c r="L4" s="16"/>
      <c r="M4" s="16">
        <v>1</v>
      </c>
      <c r="N4" s="16">
        <v>1</v>
      </c>
      <c r="O4" s="16"/>
      <c r="P4" s="16">
        <v>1</v>
      </c>
      <c r="Q4" s="16">
        <v>1</v>
      </c>
      <c r="R4" s="16">
        <v>1</v>
      </c>
      <c r="S4" s="16">
        <f t="shared" ref="S4:S34" si="0">SUM(F4:R4)</f>
        <v>19</v>
      </c>
    </row>
    <row r="5" spans="1:19">
      <c r="A5" s="7"/>
      <c r="B5" s="7"/>
      <c r="C5" s="17" t="s">
        <v>25</v>
      </c>
      <c r="D5" s="17" t="s">
        <v>26</v>
      </c>
      <c r="E5" s="16" t="s">
        <v>22</v>
      </c>
      <c r="F5" s="16"/>
      <c r="G5" s="16">
        <v>24</v>
      </c>
      <c r="H5" s="16">
        <v>12</v>
      </c>
      <c r="I5" s="16">
        <v>12</v>
      </c>
      <c r="J5" s="16">
        <v>12</v>
      </c>
      <c r="K5" s="16">
        <v>10</v>
      </c>
      <c r="L5" s="16"/>
      <c r="M5" s="16"/>
      <c r="N5" s="16"/>
      <c r="O5" s="16"/>
      <c r="P5" s="16"/>
      <c r="Q5" s="16"/>
      <c r="R5" s="16"/>
      <c r="S5" s="16">
        <f t="shared" si="0"/>
        <v>70</v>
      </c>
    </row>
    <row r="6" spans="1:19">
      <c r="A6" s="7"/>
      <c r="B6" s="7"/>
      <c r="C6" s="17" t="s">
        <v>27</v>
      </c>
      <c r="D6" s="17" t="s">
        <v>28</v>
      </c>
      <c r="E6" s="16" t="s">
        <v>22</v>
      </c>
      <c r="F6" s="16"/>
      <c r="G6" s="16">
        <v>128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>
        <f t="shared" si="0"/>
        <v>128</v>
      </c>
    </row>
    <row r="7" spans="1:19">
      <c r="A7" s="7"/>
      <c r="B7" s="7"/>
      <c r="C7" s="17" t="s">
        <v>29</v>
      </c>
      <c r="D7" s="17" t="s">
        <v>30</v>
      </c>
      <c r="E7" s="16" t="s">
        <v>22</v>
      </c>
      <c r="F7" s="16">
        <v>12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>
        <f t="shared" si="0"/>
        <v>12</v>
      </c>
    </row>
    <row r="8" spans="1:19">
      <c r="A8" s="8"/>
      <c r="B8" s="8"/>
      <c r="C8" s="17" t="s">
        <v>31</v>
      </c>
      <c r="D8" s="17" t="s">
        <v>32</v>
      </c>
      <c r="E8" s="16" t="s">
        <v>22</v>
      </c>
      <c r="F8" s="16">
        <v>12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>
        <f t="shared" si="0"/>
        <v>12</v>
      </c>
    </row>
    <row r="9" spans="1:19">
      <c r="A9" s="4">
        <v>2</v>
      </c>
      <c r="B9" s="4" t="s">
        <v>33</v>
      </c>
      <c r="C9" s="18" t="s">
        <v>34</v>
      </c>
      <c r="D9" s="17" t="s">
        <v>35</v>
      </c>
      <c r="E9" s="16" t="s">
        <v>22</v>
      </c>
      <c r="F9" s="16">
        <v>12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>
        <f t="shared" si="0"/>
        <v>12</v>
      </c>
    </row>
    <row r="10" spans="1:19">
      <c r="A10" s="7"/>
      <c r="B10" s="7"/>
      <c r="C10" s="17" t="s">
        <v>36</v>
      </c>
      <c r="D10" s="17" t="s">
        <v>35</v>
      </c>
      <c r="E10" s="16" t="s">
        <v>22</v>
      </c>
      <c r="F10" s="16">
        <v>18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>
        <f t="shared" si="0"/>
        <v>18</v>
      </c>
    </row>
    <row r="11" spans="1:19">
      <c r="A11" s="7"/>
      <c r="B11" s="7"/>
      <c r="C11" s="17" t="s">
        <v>37</v>
      </c>
      <c r="D11" s="17" t="s">
        <v>38</v>
      </c>
      <c r="E11" s="16" t="s">
        <v>22</v>
      </c>
      <c r="F11" s="16">
        <v>18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>
        <f t="shared" si="0"/>
        <v>18</v>
      </c>
    </row>
    <row r="12" spans="1:19">
      <c r="A12" s="7"/>
      <c r="B12" s="7"/>
      <c r="C12" s="17" t="s">
        <v>39</v>
      </c>
      <c r="D12" s="17" t="s">
        <v>40</v>
      </c>
      <c r="E12" s="16" t="s">
        <v>22</v>
      </c>
      <c r="F12" s="16">
        <v>15</v>
      </c>
      <c r="G12" s="16"/>
      <c r="H12" s="16"/>
      <c r="I12" s="16"/>
      <c r="J12" s="16"/>
      <c r="K12" s="16"/>
      <c r="L12" s="16">
        <v>8</v>
      </c>
      <c r="M12" s="16">
        <v>1</v>
      </c>
      <c r="N12" s="16">
        <v>1</v>
      </c>
      <c r="O12" s="16"/>
      <c r="P12" s="16">
        <v>1</v>
      </c>
      <c r="Q12" s="16">
        <v>1</v>
      </c>
      <c r="R12" s="16">
        <v>1</v>
      </c>
      <c r="S12" s="16">
        <f t="shared" si="0"/>
        <v>28</v>
      </c>
    </row>
    <row r="13" spans="1:19">
      <c r="A13" s="7"/>
      <c r="B13" s="7"/>
      <c r="C13" s="17" t="s">
        <v>41</v>
      </c>
      <c r="D13" s="17" t="s">
        <v>42</v>
      </c>
      <c r="E13" s="16" t="s">
        <v>22</v>
      </c>
      <c r="F13" s="16">
        <v>20</v>
      </c>
      <c r="G13" s="16"/>
      <c r="H13" s="16"/>
      <c r="I13" s="16"/>
      <c r="J13" s="16"/>
      <c r="K13" s="16"/>
      <c r="L13" s="16">
        <v>8</v>
      </c>
      <c r="M13" s="16"/>
      <c r="N13" s="16"/>
      <c r="O13" s="16"/>
      <c r="P13" s="16"/>
      <c r="Q13" s="16"/>
      <c r="R13" s="16"/>
      <c r="S13" s="16">
        <f t="shared" si="0"/>
        <v>28</v>
      </c>
    </row>
    <row r="14" spans="1:19">
      <c r="A14" s="8"/>
      <c r="B14" s="8"/>
      <c r="C14" s="18" t="s">
        <v>43</v>
      </c>
      <c r="D14" s="17" t="s">
        <v>35</v>
      </c>
      <c r="E14" s="16" t="s">
        <v>22</v>
      </c>
      <c r="F14" s="16">
        <v>10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f t="shared" si="0"/>
        <v>10</v>
      </c>
    </row>
    <row r="15" spans="1:19">
      <c r="A15" s="4">
        <v>3</v>
      </c>
      <c r="B15" s="4" t="s">
        <v>44</v>
      </c>
      <c r="C15" s="17" t="s">
        <v>45</v>
      </c>
      <c r="D15" s="17" t="s">
        <v>46</v>
      </c>
      <c r="E15" s="16" t="s">
        <v>22</v>
      </c>
      <c r="F15" s="16">
        <v>18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>
        <f t="shared" si="0"/>
        <v>18</v>
      </c>
    </row>
    <row r="16" spans="1:19">
      <c r="A16" s="7"/>
      <c r="B16" s="7"/>
      <c r="C16" s="17" t="s">
        <v>47</v>
      </c>
      <c r="D16" s="17" t="s">
        <v>35</v>
      </c>
      <c r="E16" s="16" t="s">
        <v>22</v>
      </c>
      <c r="F16" s="16">
        <v>12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>
        <f t="shared" si="0"/>
        <v>12</v>
      </c>
    </row>
    <row r="17" spans="1:19">
      <c r="A17" s="7"/>
      <c r="B17" s="7"/>
      <c r="C17" s="17" t="s">
        <v>48</v>
      </c>
      <c r="D17" s="17" t="s">
        <v>49</v>
      </c>
      <c r="E17" s="16" t="s">
        <v>22</v>
      </c>
      <c r="F17" s="16">
        <v>36</v>
      </c>
      <c r="G17" s="16"/>
      <c r="H17" s="16"/>
      <c r="I17" s="16"/>
      <c r="J17" s="16"/>
      <c r="K17" s="16"/>
      <c r="L17" s="16">
        <v>7</v>
      </c>
      <c r="M17" s="16"/>
      <c r="N17" s="16"/>
      <c r="O17" s="16"/>
      <c r="P17" s="16"/>
      <c r="Q17" s="16"/>
      <c r="R17" s="16"/>
      <c r="S17" s="16">
        <f t="shared" si="0"/>
        <v>43</v>
      </c>
    </row>
    <row r="18" spans="1:19">
      <c r="A18" s="7"/>
      <c r="B18" s="7"/>
      <c r="C18" s="17" t="s">
        <v>37</v>
      </c>
      <c r="D18" s="17" t="s">
        <v>38</v>
      </c>
      <c r="E18" s="16" t="s">
        <v>22</v>
      </c>
      <c r="F18" s="16">
        <v>4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>
        <f t="shared" si="0"/>
        <v>4</v>
      </c>
    </row>
    <row r="19" spans="1:19">
      <c r="A19" s="7"/>
      <c r="B19" s="7"/>
      <c r="C19" s="17" t="s">
        <v>50</v>
      </c>
      <c r="D19" s="17" t="s">
        <v>51</v>
      </c>
      <c r="E19" s="16" t="s">
        <v>22</v>
      </c>
      <c r="F19" s="16">
        <v>16</v>
      </c>
      <c r="G19" s="16">
        <v>8</v>
      </c>
      <c r="H19" s="16">
        <v>8</v>
      </c>
      <c r="I19" s="16">
        <v>8</v>
      </c>
      <c r="J19" s="16">
        <v>8</v>
      </c>
      <c r="K19" s="16">
        <v>10</v>
      </c>
      <c r="L19" s="16"/>
      <c r="M19" s="16"/>
      <c r="N19" s="16"/>
      <c r="O19" s="16">
        <v>1</v>
      </c>
      <c r="P19" s="16"/>
      <c r="Q19" s="16"/>
      <c r="R19" s="16"/>
      <c r="S19" s="16">
        <f t="shared" si="0"/>
        <v>59</v>
      </c>
    </row>
    <row r="20" s="15" customFormat="1" spans="1:19">
      <c r="A20" s="7"/>
      <c r="B20" s="7"/>
      <c r="C20" s="17" t="s">
        <v>52</v>
      </c>
      <c r="D20" s="17" t="s">
        <v>51</v>
      </c>
      <c r="E20" s="16" t="s">
        <v>22</v>
      </c>
      <c r="F20" s="16">
        <v>12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>
        <f t="shared" si="0"/>
        <v>12</v>
      </c>
    </row>
    <row r="21" spans="1:19">
      <c r="A21" s="7"/>
      <c r="B21" s="7"/>
      <c r="C21" s="17" t="s">
        <v>53</v>
      </c>
      <c r="D21" s="17" t="s">
        <v>51</v>
      </c>
      <c r="E21" s="16" t="s">
        <v>22</v>
      </c>
      <c r="F21" s="16">
        <v>12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>
        <f t="shared" si="0"/>
        <v>12</v>
      </c>
    </row>
    <row r="22" spans="1:19">
      <c r="A22" s="7"/>
      <c r="B22" s="7"/>
      <c r="C22" s="17" t="s">
        <v>54</v>
      </c>
      <c r="D22" s="17" t="s">
        <v>51</v>
      </c>
      <c r="E22" s="16" t="s">
        <v>22</v>
      </c>
      <c r="F22" s="16">
        <v>12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>
        <f t="shared" si="0"/>
        <v>12</v>
      </c>
    </row>
    <row r="23" spans="1:19">
      <c r="A23" s="7"/>
      <c r="B23" s="7"/>
      <c r="C23" s="17" t="s">
        <v>55</v>
      </c>
      <c r="D23" s="17" t="s">
        <v>56</v>
      </c>
      <c r="E23" s="16" t="s">
        <v>22</v>
      </c>
      <c r="F23" s="16">
        <v>24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>
        <f t="shared" si="0"/>
        <v>24</v>
      </c>
    </row>
    <row r="24" spans="1:19">
      <c r="A24" s="7"/>
      <c r="B24" s="7"/>
      <c r="C24" s="17" t="s">
        <v>57</v>
      </c>
      <c r="D24" s="17" t="s">
        <v>58</v>
      </c>
      <c r="E24" s="16" t="s">
        <v>22</v>
      </c>
      <c r="F24" s="16">
        <v>24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>
        <f t="shared" si="0"/>
        <v>24</v>
      </c>
    </row>
    <row r="25" spans="1:19">
      <c r="A25" s="7"/>
      <c r="B25" s="7"/>
      <c r="C25" s="17" t="s">
        <v>59</v>
      </c>
      <c r="D25" s="17" t="s">
        <v>60</v>
      </c>
      <c r="E25" s="16" t="s">
        <v>22</v>
      </c>
      <c r="F25" s="16">
        <v>3</v>
      </c>
      <c r="G25" s="16"/>
      <c r="H25" s="16">
        <v>4</v>
      </c>
      <c r="I25" s="16">
        <v>2</v>
      </c>
      <c r="J25" s="16">
        <v>2</v>
      </c>
      <c r="K25" s="16">
        <v>4</v>
      </c>
      <c r="L25" s="16">
        <v>26</v>
      </c>
      <c r="M25" s="16">
        <v>1</v>
      </c>
      <c r="N25" s="16">
        <v>1</v>
      </c>
      <c r="O25" s="16"/>
      <c r="P25" s="16">
        <v>1</v>
      </c>
      <c r="Q25" s="16">
        <v>1</v>
      </c>
      <c r="R25" s="16">
        <v>1</v>
      </c>
      <c r="S25" s="16">
        <f t="shared" si="0"/>
        <v>46</v>
      </c>
    </row>
    <row r="26" spans="1:19">
      <c r="A26" s="7"/>
      <c r="B26" s="7"/>
      <c r="C26" s="17" t="s">
        <v>61</v>
      </c>
      <c r="D26" s="17" t="s">
        <v>62</v>
      </c>
      <c r="E26" s="16" t="s">
        <v>22</v>
      </c>
      <c r="F26" s="16">
        <v>3</v>
      </c>
      <c r="G26" s="16"/>
      <c r="H26" s="16">
        <v>4</v>
      </c>
      <c r="I26" s="16">
        <v>2</v>
      </c>
      <c r="J26" s="16">
        <v>2</v>
      </c>
      <c r="K26" s="16">
        <v>4</v>
      </c>
      <c r="L26" s="16">
        <v>26</v>
      </c>
      <c r="M26" s="16">
        <v>1</v>
      </c>
      <c r="N26" s="16">
        <v>1</v>
      </c>
      <c r="O26" s="16"/>
      <c r="P26" s="16">
        <v>1</v>
      </c>
      <c r="Q26" s="16">
        <v>1</v>
      </c>
      <c r="R26" s="16">
        <v>1</v>
      </c>
      <c r="S26" s="16">
        <f t="shared" si="0"/>
        <v>46</v>
      </c>
    </row>
    <row r="27" spans="1:19">
      <c r="A27" s="8"/>
      <c r="B27" s="8"/>
      <c r="C27" s="17" t="s">
        <v>63</v>
      </c>
      <c r="D27" s="17" t="s">
        <v>64</v>
      </c>
      <c r="E27" s="16" t="s">
        <v>22</v>
      </c>
      <c r="F27" s="16">
        <v>6</v>
      </c>
      <c r="G27" s="16"/>
      <c r="H27" s="16">
        <v>4</v>
      </c>
      <c r="I27" s="16">
        <v>2</v>
      </c>
      <c r="J27" s="16">
        <v>2</v>
      </c>
      <c r="K27" s="16">
        <v>4</v>
      </c>
      <c r="L27" s="16">
        <v>26</v>
      </c>
      <c r="M27" s="16">
        <v>1</v>
      </c>
      <c r="N27" s="16">
        <v>1</v>
      </c>
      <c r="O27" s="16">
        <v>1</v>
      </c>
      <c r="P27" s="16">
        <v>1</v>
      </c>
      <c r="Q27" s="16">
        <v>1</v>
      </c>
      <c r="R27" s="16">
        <v>1</v>
      </c>
      <c r="S27" s="16">
        <f t="shared" si="0"/>
        <v>50</v>
      </c>
    </row>
    <row r="28" spans="1:19">
      <c r="A28" s="4">
        <v>4</v>
      </c>
      <c r="B28" s="4" t="s">
        <v>65</v>
      </c>
      <c r="C28" s="17" t="s">
        <v>66</v>
      </c>
      <c r="D28" s="17" t="s">
        <v>67</v>
      </c>
      <c r="E28" s="16" t="s">
        <v>22</v>
      </c>
      <c r="F28" s="16"/>
      <c r="G28" s="16">
        <v>8</v>
      </c>
      <c r="H28" s="16">
        <v>4</v>
      </c>
      <c r="I28" s="16">
        <v>4</v>
      </c>
      <c r="J28" s="16">
        <v>4</v>
      </c>
      <c r="K28" s="16">
        <v>6</v>
      </c>
      <c r="L28" s="16">
        <v>12</v>
      </c>
      <c r="M28" s="16">
        <v>1</v>
      </c>
      <c r="N28" s="16"/>
      <c r="O28" s="16"/>
      <c r="P28" s="16"/>
      <c r="Q28" s="16"/>
      <c r="R28" s="16"/>
      <c r="S28" s="16">
        <f t="shared" si="0"/>
        <v>39</v>
      </c>
    </row>
    <row r="29" spans="1:19">
      <c r="A29" s="7"/>
      <c r="B29" s="7"/>
      <c r="C29" s="17" t="s">
        <v>68</v>
      </c>
      <c r="D29" s="17" t="s">
        <v>69</v>
      </c>
      <c r="E29" s="16" t="s">
        <v>22</v>
      </c>
      <c r="F29" s="16"/>
      <c r="G29" s="16">
        <v>8</v>
      </c>
      <c r="H29" s="16">
        <v>4</v>
      </c>
      <c r="I29" s="16">
        <v>4</v>
      </c>
      <c r="J29" s="16">
        <v>4</v>
      </c>
      <c r="K29" s="16">
        <v>6</v>
      </c>
      <c r="L29" s="16"/>
      <c r="M29" s="16"/>
      <c r="N29" s="16"/>
      <c r="O29" s="16"/>
      <c r="P29" s="16"/>
      <c r="Q29" s="16"/>
      <c r="R29" s="16"/>
      <c r="S29" s="16">
        <f t="shared" si="0"/>
        <v>26</v>
      </c>
    </row>
    <row r="30" spans="1:19">
      <c r="A30" s="8"/>
      <c r="B30" s="8"/>
      <c r="C30" s="17" t="s">
        <v>70</v>
      </c>
      <c r="D30" s="17" t="s">
        <v>71</v>
      </c>
      <c r="E30" s="16" t="s">
        <v>22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>
        <f t="shared" si="0"/>
        <v>0</v>
      </c>
    </row>
    <row r="31" spans="1:19">
      <c r="A31" s="4">
        <v>5</v>
      </c>
      <c r="B31" s="4" t="s">
        <v>72</v>
      </c>
      <c r="C31" s="17" t="s">
        <v>73</v>
      </c>
      <c r="D31" s="17" t="s">
        <v>74</v>
      </c>
      <c r="E31" s="16" t="s">
        <v>22</v>
      </c>
      <c r="F31" s="16">
        <v>24</v>
      </c>
      <c r="G31" s="16"/>
      <c r="H31" s="16"/>
      <c r="I31" s="16"/>
      <c r="J31" s="16"/>
      <c r="K31" s="16"/>
      <c r="L31" s="16"/>
      <c r="M31" s="16"/>
      <c r="N31" s="16"/>
      <c r="O31" s="16">
        <v>1</v>
      </c>
      <c r="P31" s="16"/>
      <c r="Q31" s="16"/>
      <c r="R31" s="16"/>
      <c r="S31" s="16">
        <f t="shared" si="0"/>
        <v>25</v>
      </c>
    </row>
    <row r="32" spans="1:19">
      <c r="A32" s="8"/>
      <c r="B32" s="8"/>
      <c r="C32" s="17" t="s">
        <v>75</v>
      </c>
      <c r="D32" s="17" t="s">
        <v>76</v>
      </c>
      <c r="E32" s="16" t="s">
        <v>22</v>
      </c>
      <c r="F32" s="16">
        <v>25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>
        <f t="shared" si="0"/>
        <v>25</v>
      </c>
    </row>
    <row r="33" spans="1:19">
      <c r="A33" s="4">
        <v>6</v>
      </c>
      <c r="B33" s="4" t="s">
        <v>77</v>
      </c>
      <c r="C33" s="17" t="s">
        <v>78</v>
      </c>
      <c r="D33" s="17" t="s">
        <v>26</v>
      </c>
      <c r="E33" s="16" t="s">
        <v>22</v>
      </c>
      <c r="F33" s="16"/>
      <c r="G33" s="16"/>
      <c r="H33" s="16"/>
      <c r="I33" s="16"/>
      <c r="J33" s="16"/>
      <c r="K33" s="16"/>
      <c r="L33" s="16">
        <v>12</v>
      </c>
      <c r="M33" s="16"/>
      <c r="N33" s="16"/>
      <c r="O33" s="16"/>
      <c r="P33" s="16"/>
      <c r="Q33" s="16"/>
      <c r="R33" s="16"/>
      <c r="S33" s="16">
        <f t="shared" si="0"/>
        <v>12</v>
      </c>
    </row>
    <row r="34" spans="1:19">
      <c r="A34" s="7"/>
      <c r="B34" s="7"/>
      <c r="C34" s="17" t="s">
        <v>79</v>
      </c>
      <c r="D34" s="17" t="s">
        <v>80</v>
      </c>
      <c r="E34" s="16" t="s">
        <v>22</v>
      </c>
      <c r="F34" s="16">
        <v>6</v>
      </c>
      <c r="G34" s="16">
        <v>8</v>
      </c>
      <c r="H34" s="16">
        <v>2</v>
      </c>
      <c r="I34" s="16">
        <v>2</v>
      </c>
      <c r="J34" s="16">
        <v>2</v>
      </c>
      <c r="K34" s="16">
        <v>4</v>
      </c>
      <c r="L34" s="16">
        <v>12</v>
      </c>
      <c r="M34" s="16">
        <v>1</v>
      </c>
      <c r="N34" s="16">
        <v>1</v>
      </c>
      <c r="O34" s="16">
        <v>1</v>
      </c>
      <c r="P34" s="16">
        <v>1</v>
      </c>
      <c r="Q34" s="16">
        <v>1</v>
      </c>
      <c r="R34" s="16">
        <v>1</v>
      </c>
      <c r="S34" s="16">
        <f t="shared" si="0"/>
        <v>42</v>
      </c>
    </row>
    <row r="35" spans="1:19">
      <c r="A35" s="8"/>
      <c r="B35" s="8"/>
      <c r="C35" s="17" t="s">
        <v>81</v>
      </c>
      <c r="D35" s="17" t="s">
        <v>82</v>
      </c>
      <c r="E35" s="16" t="s">
        <v>22</v>
      </c>
      <c r="F35" s="16">
        <f>29*2</f>
        <v>58</v>
      </c>
      <c r="G35" s="16"/>
      <c r="H35" s="16"/>
      <c r="I35" s="16"/>
      <c r="J35" s="16"/>
      <c r="K35" s="16"/>
      <c r="L35" s="16">
        <f>13*2</f>
        <v>26</v>
      </c>
      <c r="M35" s="16"/>
      <c r="N35" s="16"/>
      <c r="O35" s="16"/>
      <c r="P35" s="16"/>
      <c r="Q35" s="16"/>
      <c r="R35" s="16"/>
      <c r="S35" s="16">
        <f>SUM(F35:R35)</f>
        <v>84</v>
      </c>
    </row>
    <row r="36" spans="1:19">
      <c r="A36" s="14"/>
      <c r="B36" s="14"/>
      <c r="C36" s="14" t="s">
        <v>83</v>
      </c>
      <c r="D36" s="14"/>
      <c r="E36" s="16" t="s">
        <v>22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>
        <f>SUM(S3:S35)</f>
        <v>1019</v>
      </c>
    </row>
  </sheetData>
  <mergeCells count="17">
    <mergeCell ref="A1:A2"/>
    <mergeCell ref="A3:A8"/>
    <mergeCell ref="A9:A14"/>
    <mergeCell ref="A15:A27"/>
    <mergeCell ref="A28:A30"/>
    <mergeCell ref="A31:A32"/>
    <mergeCell ref="A33:A35"/>
    <mergeCell ref="B1:B2"/>
    <mergeCell ref="B3:B8"/>
    <mergeCell ref="B9:B14"/>
    <mergeCell ref="B15:B27"/>
    <mergeCell ref="B28:B30"/>
    <mergeCell ref="B31:B32"/>
    <mergeCell ref="B33:B35"/>
    <mergeCell ref="C1:C2"/>
    <mergeCell ref="D1:D2"/>
    <mergeCell ref="E1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E2" sqref="E2"/>
    </sheetView>
  </sheetViews>
  <sheetFormatPr defaultColWidth="9" defaultRowHeight="14.25"/>
  <cols>
    <col min="1" max="1" width="11.875" customWidth="1"/>
    <col min="2" max="2" width="12.25" customWidth="1"/>
    <col min="3" max="3" width="14" customWidth="1"/>
    <col min="4" max="4" width="12.75" customWidth="1"/>
    <col min="5" max="5" width="12.625"/>
    <col min="6" max="6" width="12.5" customWidth="1"/>
    <col min="7" max="7" width="11.875" customWidth="1"/>
    <col min="8" max="8" width="12.625"/>
  </cols>
  <sheetData>
    <row r="1" spans="1:9">
      <c r="A1" s="1" t="s">
        <v>84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2"/>
    </row>
    <row r="2" spans="1:9">
      <c r="A2" s="1">
        <v>1</v>
      </c>
      <c r="B2" s="2">
        <v>36685.036</v>
      </c>
      <c r="C2" s="2">
        <f>B2*0.2*4*1.5</f>
        <v>44022.0432</v>
      </c>
      <c r="D2" s="2">
        <f>(915*2+4955*4+(6246-4955)*6+(33743-6246)*8+(35014-33743)*10+(35900-35014)*16+(36685-35900)*10)*6/15*0.15*1.5</f>
        <v>25569.72</v>
      </c>
      <c r="E2" s="2"/>
      <c r="F2" s="2"/>
      <c r="G2" s="2"/>
      <c r="H2" s="2">
        <f>SUM(A2:G2)</f>
        <v>106277.7992</v>
      </c>
    </row>
    <row r="3" spans="1:9">
      <c r="A3" s="1" t="s">
        <v>7</v>
      </c>
      <c r="B3" s="2">
        <f>650+470+473+689+675+469+473+676</f>
        <v>4575</v>
      </c>
      <c r="C3" s="2">
        <f>B3*0.2*2*1.5</f>
        <v>2745</v>
      </c>
      <c r="D3" s="2"/>
      <c r="E3" s="2">
        <f>178*16*0.45/1.45*1.5</f>
        <v>1325.79310344828</v>
      </c>
      <c r="F3" s="2">
        <f>519*1.5</f>
        <v>778.5</v>
      </c>
      <c r="G3" s="2">
        <f>(215*8+360*8)*0.45*0.5*1.5</f>
        <v>1552.5</v>
      </c>
      <c r="H3" s="2">
        <f t="shared" ref="H3:H14" si="0">SUM(A3:G3)</f>
        <v>10976.7931034483</v>
      </c>
    </row>
    <row r="4" spans="1:9">
      <c r="A4" s="1" t="s">
        <v>8</v>
      </c>
      <c r="B4" s="2">
        <f>501+546+519+525</f>
        <v>2091</v>
      </c>
      <c r="C4" s="2">
        <f>B4*0.2*2*1.5</f>
        <v>1254.6</v>
      </c>
      <c r="D4" s="2"/>
      <c r="E4" s="2">
        <f>118*4*0.45/1.45*1.5</f>
        <v>219.724137931034</v>
      </c>
      <c r="F4" s="2">
        <f t="shared" ref="F4:F6" si="1">389*1.5</f>
        <v>583.5</v>
      </c>
      <c r="G4" s="2">
        <f>(215*2+360*2)*0.45*0.5*1.5</f>
        <v>388.125</v>
      </c>
      <c r="H4" s="2">
        <f t="shared" si="0"/>
        <v>4536.94913793103</v>
      </c>
    </row>
    <row r="5" spans="1:9">
      <c r="A5" s="1" t="s">
        <v>9</v>
      </c>
      <c r="B5" s="2">
        <f>425+448+433+437</f>
        <v>1743</v>
      </c>
      <c r="C5" s="2">
        <f>B5*0.2*2*1.5</f>
        <v>1045.8</v>
      </c>
      <c r="D5" s="2"/>
      <c r="E5" s="2">
        <f>311*4*0.45/1.45*1.5</f>
        <v>579.103448275862</v>
      </c>
      <c r="F5" s="2">
        <f t="shared" si="1"/>
        <v>583.5</v>
      </c>
      <c r="G5" s="2">
        <f>(369*2+370*2)*0.45*0.5*1.5</f>
        <v>498.825</v>
      </c>
      <c r="H5" s="2">
        <f t="shared" si="0"/>
        <v>4450.22844827586</v>
      </c>
    </row>
    <row r="6" spans="1:9">
      <c r="A6" s="1" t="s">
        <v>10</v>
      </c>
      <c r="B6" s="2">
        <f>449+447+449+451</f>
        <v>1796</v>
      </c>
      <c r="C6" s="2">
        <f>B6*0.2*2*1.5</f>
        <v>1077.6</v>
      </c>
      <c r="D6" s="2"/>
      <c r="E6" s="2">
        <f>291*4*0.45/1.45*1.5</f>
        <v>541.862068965517</v>
      </c>
      <c r="F6" s="2">
        <f t="shared" si="1"/>
        <v>583.5</v>
      </c>
      <c r="G6" s="2">
        <f>(369*2+470*2)*0.45*0.5*1.5</f>
        <v>566.325</v>
      </c>
      <c r="H6" s="2">
        <f t="shared" si="0"/>
        <v>4565.28706896552</v>
      </c>
    </row>
    <row r="7" spans="1:9">
      <c r="A7" s="1" t="s">
        <v>11</v>
      </c>
      <c r="B7" s="2">
        <f>683+333+1126.516+305+452</f>
        <v>2899.516</v>
      </c>
      <c r="C7" s="2">
        <f>B7*0.2*2*1.5</f>
        <v>1739.7096</v>
      </c>
      <c r="D7" s="2">
        <f>(321+303+269+269+149)*2/6*0.15*1.5</f>
        <v>98.325</v>
      </c>
      <c r="E7" s="2">
        <f>147*4*0.45/1.45*1.5</f>
        <v>273.724137931035</v>
      </c>
      <c r="F7" s="2">
        <f>478*1.5</f>
        <v>717</v>
      </c>
      <c r="G7" s="2">
        <f>(369*4+370*4)*0.45*0.5*1.5</f>
        <v>997.65</v>
      </c>
      <c r="H7" s="2">
        <f t="shared" si="0"/>
        <v>6725.92473793103</v>
      </c>
    </row>
    <row r="8" spans="1:9">
      <c r="A8" s="1">
        <v>2</v>
      </c>
      <c r="B8" s="2">
        <v>13708.711</v>
      </c>
      <c r="C8" s="2">
        <f>B8*0.2*4*1.5</f>
        <v>16450.4532</v>
      </c>
      <c r="D8" s="2">
        <f>(13215.646*4+(B8-13215.646)*2)*6/15*0.15*1.5</f>
        <v>4846.38426</v>
      </c>
      <c r="E8" s="2">
        <f>110*0.45/1.45*1.5*11</f>
        <v>563.275862068966</v>
      </c>
      <c r="F8" s="2">
        <f>621*1.5</f>
        <v>931.5</v>
      </c>
      <c r="G8" s="2"/>
      <c r="H8" s="2">
        <f t="shared" si="0"/>
        <v>36502.324322069</v>
      </c>
    </row>
    <row r="9" spans="1:9">
      <c r="A9" s="1">
        <v>3</v>
      </c>
      <c r="B9" s="2">
        <v>1603.053</v>
      </c>
      <c r="C9" s="2">
        <f t="shared" ref="C8:C14" si="2">B9*0.2*2*1.5</f>
        <v>961.8318</v>
      </c>
      <c r="D9" s="2"/>
      <c r="E9" s="2">
        <f>110*0.45/1.45*1.5</f>
        <v>51.2068965517241</v>
      </c>
      <c r="F9" s="2">
        <f>59*1.5</f>
        <v>88.5</v>
      </c>
      <c r="G9" s="2"/>
      <c r="H9" s="2">
        <f t="shared" si="0"/>
        <v>2707.59169655172</v>
      </c>
    </row>
    <row r="10" spans="1:9">
      <c r="A10" s="1">
        <v>4</v>
      </c>
      <c r="B10" s="2">
        <v>1598.784</v>
      </c>
      <c r="C10" s="2">
        <f t="shared" si="2"/>
        <v>959.2704</v>
      </c>
      <c r="D10" s="2"/>
      <c r="E10" s="2">
        <f>110*0.45/1.45*1.5</f>
        <v>51.2068965517241</v>
      </c>
      <c r="F10" s="2">
        <f>59*1.5</f>
        <v>88.5</v>
      </c>
      <c r="G10" s="2"/>
      <c r="H10" s="2">
        <f t="shared" si="0"/>
        <v>2701.76129655172</v>
      </c>
    </row>
    <row r="11" spans="1:9">
      <c r="A11" s="1">
        <v>5</v>
      </c>
      <c r="B11" s="2">
        <v>682.997</v>
      </c>
      <c r="C11" s="2">
        <f t="shared" si="2"/>
        <v>409.7982</v>
      </c>
      <c r="D11" s="2"/>
      <c r="E11" s="2">
        <f>92*0.45/1.45*1.5</f>
        <v>42.8275862068966</v>
      </c>
      <c r="F11" s="2">
        <f>39*1.5</f>
        <v>58.5</v>
      </c>
      <c r="G11" s="2"/>
      <c r="H11" s="2">
        <f t="shared" si="0"/>
        <v>1199.1227862069</v>
      </c>
    </row>
    <row r="12" spans="1:9">
      <c r="A12" s="1">
        <v>8</v>
      </c>
      <c r="B12" s="2">
        <v>1126.516</v>
      </c>
      <c r="C12" s="2">
        <f t="shared" si="2"/>
        <v>675.9096</v>
      </c>
      <c r="D12" s="2"/>
      <c r="E12" s="2">
        <f>97*0.45/1.45*1.5</f>
        <v>45.1551724137931</v>
      </c>
      <c r="F12" s="2">
        <f>52*1.5</f>
        <v>78</v>
      </c>
      <c r="G12" s="2"/>
      <c r="H12" s="2">
        <f t="shared" si="0"/>
        <v>1933.58077241379</v>
      </c>
    </row>
    <row r="13" spans="1:9">
      <c r="A13" s="1">
        <v>9</v>
      </c>
      <c r="B13" s="2">
        <v>1677.097</v>
      </c>
      <c r="C13" s="2">
        <f t="shared" si="2"/>
        <v>1006.2582</v>
      </c>
      <c r="D13" s="2"/>
      <c r="E13" s="2">
        <f>105*0.45/1.45*1.5</f>
        <v>48.8793103448276</v>
      </c>
      <c r="F13" s="2">
        <f>96*1.5</f>
        <v>144</v>
      </c>
      <c r="G13" s="2"/>
      <c r="H13" s="2">
        <f t="shared" si="0"/>
        <v>2885.23451034483</v>
      </c>
    </row>
    <row r="14" spans="1:9">
      <c r="A14" s="1">
        <v>10</v>
      </c>
      <c r="B14" s="2">
        <v>332.519</v>
      </c>
      <c r="C14" s="2">
        <f t="shared" si="2"/>
        <v>199.5114</v>
      </c>
      <c r="D14" s="2"/>
      <c r="E14" s="2">
        <f>83*0.45/1.45*1.5</f>
        <v>38.6379310344828</v>
      </c>
      <c r="F14" s="2">
        <f>25*1.5</f>
        <v>37.5</v>
      </c>
      <c r="G14" s="2"/>
      <c r="H14" s="2">
        <f t="shared" si="0"/>
        <v>618.168331034483</v>
      </c>
    </row>
    <row r="15" spans="1:9">
      <c r="A15" s="1"/>
      <c r="B15" s="1">
        <f>SUM(B2:B14)</f>
        <v>70519.229</v>
      </c>
      <c r="C15" s="1">
        <f t="shared" ref="C15:H15" si="3">SUM(C2:C14)</f>
        <v>72547.7856</v>
      </c>
      <c r="D15" s="1">
        <f t="shared" si="3"/>
        <v>30514.42926</v>
      </c>
      <c r="E15" s="1">
        <f t="shared" si="3"/>
        <v>3781.39655172414</v>
      </c>
      <c r="F15" s="1">
        <f t="shared" si="3"/>
        <v>4672.5</v>
      </c>
      <c r="G15" s="1">
        <f t="shared" si="3"/>
        <v>4003.425</v>
      </c>
      <c r="H15" s="14">
        <f t="shared" si="3"/>
        <v>186080.765411724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D22" sqref="D22"/>
    </sheetView>
  </sheetViews>
  <sheetFormatPr defaultColWidth="9" defaultRowHeight="14.25" outlineLevelCol="5"/>
  <cols>
    <col min="1" max="1" width="11.875" customWidth="1"/>
    <col min="2" max="2" width="10.75" customWidth="1"/>
    <col min="3" max="3" width="18.625" customWidth="1"/>
    <col min="4" max="4" width="20.5" customWidth="1"/>
    <col min="5" max="5" width="12.625"/>
  </cols>
  <sheetData>
    <row r="1" spans="1:6">
      <c r="A1" s="1" t="s">
        <v>84</v>
      </c>
      <c r="B1" s="1" t="s">
        <v>92</v>
      </c>
      <c r="C1" s="1" t="s">
        <v>93</v>
      </c>
      <c r="D1" s="1" t="s">
        <v>94</v>
      </c>
      <c r="E1" s="1" t="s">
        <v>83</v>
      </c>
      <c r="F1" s="12"/>
    </row>
    <row r="2" spans="1:6">
      <c r="A2" s="1">
        <v>1</v>
      </c>
      <c r="B2" s="2">
        <v>36685.036</v>
      </c>
      <c r="C2" s="2">
        <f>B2*2*1.3</f>
        <v>95381.0936</v>
      </c>
      <c r="D2" s="2">
        <f>B2*2*1.3</f>
        <v>95381.0936</v>
      </c>
      <c r="E2" s="2">
        <f t="shared" ref="E2:E14" si="0">SUM(A2:D2)</f>
        <v>227448.2232</v>
      </c>
    </row>
    <row r="3" spans="1:6">
      <c r="A3" s="1" t="s">
        <v>7</v>
      </c>
      <c r="B3" s="2">
        <f>650+470+473+689+675+469+473+676</f>
        <v>4575</v>
      </c>
      <c r="C3" s="2">
        <f t="shared" ref="C3:C14" si="1">B3*2*1.3</f>
        <v>11895</v>
      </c>
      <c r="D3" s="2"/>
      <c r="E3" s="2">
        <f t="shared" si="0"/>
        <v>16470</v>
      </c>
    </row>
    <row r="4" spans="1:6">
      <c r="A4" s="1" t="s">
        <v>8</v>
      </c>
      <c r="B4" s="2">
        <f>501+546+519+525</f>
        <v>2091</v>
      </c>
      <c r="C4" s="2">
        <f t="shared" si="1"/>
        <v>5436.6</v>
      </c>
      <c r="D4" s="2"/>
      <c r="E4" s="2">
        <f t="shared" si="0"/>
        <v>7527.6</v>
      </c>
    </row>
    <row r="5" spans="1:6">
      <c r="A5" s="1" t="s">
        <v>9</v>
      </c>
      <c r="B5" s="2">
        <f>425+448+433+437</f>
        <v>1743</v>
      </c>
      <c r="C5" s="2">
        <f t="shared" si="1"/>
        <v>4531.8</v>
      </c>
      <c r="D5" s="2"/>
      <c r="E5" s="2">
        <f t="shared" si="0"/>
        <v>6274.8</v>
      </c>
    </row>
    <row r="6" spans="1:6">
      <c r="A6" s="1" t="s">
        <v>10</v>
      </c>
      <c r="B6" s="2">
        <f>449+447+449+451</f>
        <v>1796</v>
      </c>
      <c r="C6" s="2">
        <f t="shared" si="1"/>
        <v>4669.6</v>
      </c>
      <c r="D6" s="2"/>
      <c r="E6" s="2">
        <f t="shared" si="0"/>
        <v>6465.6</v>
      </c>
    </row>
    <row r="7" spans="1:6">
      <c r="A7" s="1" t="s">
        <v>11</v>
      </c>
      <c r="B7" s="2">
        <f>683+333+1126.516+305+452</f>
        <v>2899.516</v>
      </c>
      <c r="C7" s="2">
        <f t="shared" si="1"/>
        <v>7538.7416</v>
      </c>
      <c r="D7" s="2"/>
      <c r="E7" s="2">
        <f t="shared" si="0"/>
        <v>10438.2576</v>
      </c>
    </row>
    <row r="8" spans="1:6">
      <c r="A8" s="1">
        <v>2</v>
      </c>
      <c r="B8" s="2">
        <v>13708.711</v>
      </c>
      <c r="C8" s="2">
        <f>B8*2*1.3</f>
        <v>35642.6486</v>
      </c>
      <c r="D8" s="2">
        <f>B8*2*1.3</f>
        <v>35642.6486</v>
      </c>
      <c r="E8" s="2">
        <f t="shared" si="0"/>
        <v>84996.0082</v>
      </c>
    </row>
    <row r="9" spans="1:6">
      <c r="A9" s="1">
        <v>3</v>
      </c>
      <c r="B9" s="2">
        <v>1603.053</v>
      </c>
      <c r="C9" s="2">
        <f t="shared" si="1"/>
        <v>4167.9378</v>
      </c>
      <c r="D9" s="2"/>
      <c r="E9" s="2">
        <f t="shared" si="0"/>
        <v>5773.9908</v>
      </c>
    </row>
    <row r="10" spans="1:6">
      <c r="A10" s="1">
        <v>4</v>
      </c>
      <c r="B10" s="2">
        <v>1598.784</v>
      </c>
      <c r="C10" s="2">
        <f t="shared" si="1"/>
        <v>4156.8384</v>
      </c>
      <c r="D10" s="2"/>
      <c r="E10" s="2">
        <f t="shared" si="0"/>
        <v>5759.6224</v>
      </c>
    </row>
    <row r="11" spans="1:6">
      <c r="A11" s="1">
        <v>5</v>
      </c>
      <c r="B11" s="2">
        <v>682.997</v>
      </c>
      <c r="C11" s="2">
        <f t="shared" si="1"/>
        <v>1775.7922</v>
      </c>
      <c r="D11" s="2"/>
      <c r="E11" s="2">
        <f t="shared" si="0"/>
        <v>2463.7892</v>
      </c>
    </row>
    <row r="12" spans="1:6">
      <c r="A12" s="1">
        <v>8</v>
      </c>
      <c r="B12" s="2">
        <v>1126.516</v>
      </c>
      <c r="C12" s="2">
        <f t="shared" si="1"/>
        <v>2928.9416</v>
      </c>
      <c r="D12" s="2"/>
      <c r="E12" s="2">
        <f t="shared" si="0"/>
        <v>4063.4576</v>
      </c>
    </row>
    <row r="13" spans="1:6">
      <c r="A13" s="1">
        <v>9</v>
      </c>
      <c r="B13" s="2">
        <v>1677.097</v>
      </c>
      <c r="C13" s="2">
        <f t="shared" si="1"/>
        <v>4360.4522</v>
      </c>
      <c r="D13" s="2"/>
      <c r="E13" s="2">
        <f t="shared" si="0"/>
        <v>6046.5492</v>
      </c>
    </row>
    <row r="14" spans="1:6">
      <c r="A14" s="1">
        <v>10</v>
      </c>
      <c r="B14" s="2">
        <v>332.519</v>
      </c>
      <c r="C14" s="2">
        <f t="shared" si="1"/>
        <v>864.5494</v>
      </c>
      <c r="D14" s="2"/>
      <c r="E14" s="2">
        <f t="shared" si="0"/>
        <v>1207.0684</v>
      </c>
    </row>
    <row r="15" customFormat="1" spans="1:6">
      <c r="A15" s="1"/>
      <c r="B15" s="1">
        <f>SUM(B2:B14)</f>
        <v>70519.229</v>
      </c>
      <c r="C15" s="1">
        <f>SUM(C2:C14)</f>
        <v>183349.9954</v>
      </c>
      <c r="D15" s="1">
        <f>SUM(D2:D14)</f>
        <v>131023.7422</v>
      </c>
      <c r="E15" s="14">
        <f>SUM(E2:E14)</f>
        <v>384934.9666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J32" sqref="J32"/>
    </sheetView>
  </sheetViews>
  <sheetFormatPr defaultColWidth="9" defaultRowHeight="14.25" outlineLevelCol="5"/>
  <cols>
    <col min="1" max="1" width="11.875" customWidth="1"/>
    <col min="2" max="2" width="10.75" customWidth="1"/>
    <col min="3" max="3" width="15.875" customWidth="1"/>
    <col min="4" max="4" width="17.375" customWidth="1"/>
    <col min="5" max="5" width="12.625"/>
  </cols>
  <sheetData>
    <row r="1" ht="15.75" spans="1:6">
      <c r="A1" t="s">
        <v>84</v>
      </c>
      <c r="B1" t="s">
        <v>92</v>
      </c>
      <c r="C1" t="s">
        <v>95</v>
      </c>
      <c r="D1" t="s">
        <v>95</v>
      </c>
      <c r="E1" t="s">
        <v>83</v>
      </c>
      <c r="F1" s="12" t="s">
        <v>96</v>
      </c>
    </row>
    <row r="2" spans="1:6">
      <c r="A2">
        <v>1</v>
      </c>
      <c r="B2" s="3">
        <v>36685.036</v>
      </c>
      <c r="C2" s="3">
        <f>B2*2*1.3/24</f>
        <v>3974.21223333333</v>
      </c>
      <c r="D2" s="3">
        <f>B2*2*1.3/24</f>
        <v>3974.21223333333</v>
      </c>
      <c r="E2" s="3">
        <f t="shared" ref="E2:E14" si="0">SUM(A2:D2)</f>
        <v>44634.4604666667</v>
      </c>
    </row>
    <row r="3" spans="1:6">
      <c r="A3" t="s">
        <v>7</v>
      </c>
      <c r="B3" s="3">
        <f>650+470+473+689+675+469+473+676</f>
        <v>4575</v>
      </c>
      <c r="C3" s="3">
        <f>B3*2*1.3/16</f>
        <v>743.4375</v>
      </c>
      <c r="D3" s="3"/>
      <c r="E3" s="3">
        <f t="shared" si="0"/>
        <v>5318.4375</v>
      </c>
    </row>
    <row r="4" spans="1:6">
      <c r="A4" t="s">
        <v>8</v>
      </c>
      <c r="B4" s="3">
        <f>501+546+519+525</f>
        <v>2091</v>
      </c>
      <c r="C4" s="3">
        <f>B4*2*1.3/16</f>
        <v>339.7875</v>
      </c>
      <c r="D4" s="3"/>
      <c r="E4" s="3">
        <f t="shared" si="0"/>
        <v>2430.7875</v>
      </c>
    </row>
    <row r="5" spans="1:6">
      <c r="A5" t="s">
        <v>9</v>
      </c>
      <c r="B5" s="3">
        <f>425+448+433+437</f>
        <v>1743</v>
      </c>
      <c r="C5" s="3">
        <f>B5*2*1.3/16</f>
        <v>283.2375</v>
      </c>
      <c r="D5" s="3"/>
      <c r="E5" s="3">
        <f t="shared" si="0"/>
        <v>2026.2375</v>
      </c>
    </row>
    <row r="6" spans="1:6">
      <c r="A6" t="s">
        <v>10</v>
      </c>
      <c r="B6" s="3">
        <f>449+447+449+451</f>
        <v>1796</v>
      </c>
      <c r="C6" s="3">
        <f>B6*2*1.3/16</f>
        <v>291.85</v>
      </c>
      <c r="D6" s="3"/>
      <c r="E6" s="3">
        <f t="shared" si="0"/>
        <v>2087.85</v>
      </c>
    </row>
    <row r="7" spans="1:6">
      <c r="A7" t="s">
        <v>11</v>
      </c>
      <c r="B7" s="3">
        <f>683+333+1126.516+305+452</f>
        <v>2899.516</v>
      </c>
      <c r="C7" s="3">
        <f>B7*2*1.3/16</f>
        <v>471.17135</v>
      </c>
      <c r="D7" s="3"/>
      <c r="E7" s="3">
        <f t="shared" si="0"/>
        <v>3370.68735</v>
      </c>
    </row>
    <row r="8" spans="1:6">
      <c r="A8">
        <v>2</v>
      </c>
      <c r="B8" s="3">
        <v>13708.711</v>
      </c>
      <c r="C8" s="3">
        <f t="shared" ref="C3:C14" si="1">B8*2*1.3/24</f>
        <v>1485.11035833333</v>
      </c>
      <c r="D8" s="3"/>
      <c r="E8" s="3">
        <f t="shared" si="0"/>
        <v>15195.8213583333</v>
      </c>
    </row>
    <row r="9" spans="1:6">
      <c r="A9">
        <v>3</v>
      </c>
      <c r="B9" s="3">
        <v>1603.053</v>
      </c>
      <c r="C9" s="3">
        <f t="shared" si="1"/>
        <v>173.664075</v>
      </c>
      <c r="D9" s="3"/>
      <c r="E9" s="3">
        <f t="shared" si="0"/>
        <v>1779.717075</v>
      </c>
    </row>
    <row r="10" spans="1:6">
      <c r="A10">
        <v>4</v>
      </c>
      <c r="B10" s="3">
        <v>1598.784</v>
      </c>
      <c r="C10" s="3">
        <f t="shared" si="1"/>
        <v>173.2016</v>
      </c>
      <c r="D10" s="3"/>
      <c r="E10" s="3">
        <f t="shared" si="0"/>
        <v>1775.9856</v>
      </c>
    </row>
    <row r="11" spans="1:6">
      <c r="A11">
        <v>5</v>
      </c>
      <c r="B11" s="3">
        <v>682.997</v>
      </c>
      <c r="C11" s="3">
        <f t="shared" si="1"/>
        <v>73.9913416666667</v>
      </c>
      <c r="D11" s="3"/>
      <c r="E11" s="3">
        <f t="shared" si="0"/>
        <v>761.988341666667</v>
      </c>
    </row>
    <row r="12" spans="1:6">
      <c r="A12">
        <v>8</v>
      </c>
      <c r="B12" s="3">
        <v>1126.516</v>
      </c>
      <c r="C12" s="3">
        <f t="shared" si="1"/>
        <v>122.039233333333</v>
      </c>
      <c r="D12" s="3"/>
      <c r="E12" s="3">
        <f t="shared" si="0"/>
        <v>1256.55523333333</v>
      </c>
    </row>
    <row r="13" spans="1:6">
      <c r="A13">
        <v>9</v>
      </c>
      <c r="B13" s="3">
        <v>1677.097</v>
      </c>
      <c r="C13" s="3">
        <f t="shared" si="1"/>
        <v>181.685508333333</v>
      </c>
      <c r="D13" s="3"/>
      <c r="E13" s="3">
        <f t="shared" si="0"/>
        <v>1867.78250833333</v>
      </c>
    </row>
    <row r="14" spans="1:6">
      <c r="A14">
        <v>10</v>
      </c>
      <c r="B14" s="3">
        <v>332.519</v>
      </c>
      <c r="C14" s="3">
        <f t="shared" si="1"/>
        <v>36.0228916666667</v>
      </c>
      <c r="D14" s="3"/>
      <c r="E14" s="3">
        <f t="shared" si="0"/>
        <v>378.541891666667</v>
      </c>
    </row>
    <row r="15" customFormat="1" spans="1:6">
      <c r="B15" s="3">
        <f>SUM(B2:B14)</f>
        <v>70519.229</v>
      </c>
      <c r="C15" s="3">
        <f>SUM(C2:C14)</f>
        <v>8349.41109166667</v>
      </c>
      <c r="D15" s="3">
        <f>SUM(D2:D14)</f>
        <v>3974.21223333333</v>
      </c>
      <c r="E15" s="13">
        <f>SUM(E2:E14)</f>
        <v>82884.852325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5" sqref="D5:D6"/>
    </sheetView>
  </sheetViews>
  <sheetFormatPr defaultColWidth="9" defaultRowHeight="14.25" outlineLevelRow="7" outlineLevelCol="4"/>
  <cols>
    <col min="3" max="3" width="16.25" customWidth="1"/>
  </cols>
  <sheetData>
    <row r="1" spans="1:5">
      <c r="A1" s="1" t="s">
        <v>0</v>
      </c>
      <c r="B1" s="1" t="s">
        <v>97</v>
      </c>
      <c r="C1" s="1" t="s">
        <v>98</v>
      </c>
      <c r="D1" s="1" t="s">
        <v>99</v>
      </c>
      <c r="E1" s="1" t="s">
        <v>100</v>
      </c>
    </row>
    <row r="2" spans="1:5">
      <c r="A2" s="4">
        <v>1</v>
      </c>
      <c r="B2" s="1" t="s">
        <v>101</v>
      </c>
      <c r="C2" s="5">
        <v>6140</v>
      </c>
      <c r="D2" s="6">
        <v>1168</v>
      </c>
      <c r="E2" s="1">
        <f t="shared" ref="E2:E7" si="0">D2/1+1</f>
        <v>1169</v>
      </c>
    </row>
    <row r="3" spans="1:5">
      <c r="A3" s="7"/>
      <c r="B3" s="1"/>
      <c r="C3" s="5">
        <v>9810</v>
      </c>
      <c r="D3" s="6">
        <v>406</v>
      </c>
      <c r="E3" s="1">
        <f t="shared" si="0"/>
        <v>407</v>
      </c>
    </row>
    <row r="4" spans="1:5">
      <c r="A4" s="8"/>
      <c r="B4" s="1"/>
      <c r="C4" s="5">
        <v>20505</v>
      </c>
      <c r="D4" s="6">
        <v>3088</v>
      </c>
      <c r="E4" s="1">
        <f t="shared" si="0"/>
        <v>3089</v>
      </c>
    </row>
    <row r="5" spans="1:5">
      <c r="A5" s="4">
        <v>2</v>
      </c>
      <c r="B5" s="1" t="s">
        <v>102</v>
      </c>
      <c r="C5" s="9">
        <v>815</v>
      </c>
      <c r="D5" s="10">
        <v>728</v>
      </c>
      <c r="E5" s="1">
        <f>D5/1+1</f>
        <v>729</v>
      </c>
    </row>
    <row r="6" spans="1:5">
      <c r="A6" s="8"/>
      <c r="B6" s="1"/>
      <c r="C6" s="9">
        <v>1853</v>
      </c>
      <c r="D6" s="10">
        <v>428</v>
      </c>
      <c r="E6" s="1">
        <f>D6/1+1</f>
        <v>429</v>
      </c>
    </row>
    <row r="7" spans="1:5">
      <c r="A7" s="1">
        <v>3</v>
      </c>
      <c r="B7" s="1" t="s">
        <v>103</v>
      </c>
      <c r="C7" s="9">
        <v>1400</v>
      </c>
      <c r="D7" s="11">
        <v>98</v>
      </c>
      <c r="E7" s="1">
        <f>D7/1+1</f>
        <v>99</v>
      </c>
    </row>
    <row r="8" spans="1:5">
      <c r="A8" s="1"/>
      <c r="B8" s="1"/>
      <c r="C8" s="1"/>
      <c r="D8" s="1"/>
      <c r="E8" s="1">
        <f>SUM(E2:E7)</f>
        <v>5922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B2" sqref="B2"/>
    </sheetView>
  </sheetViews>
  <sheetFormatPr defaultColWidth="9" defaultRowHeight="14.25" outlineLevelCol="2"/>
  <cols>
    <col min="1" max="1" width="15" customWidth="1"/>
    <col min="2" max="2" width="12.625" customWidth="1"/>
    <col min="3" max="3" width="19.375" customWidth="1"/>
  </cols>
  <sheetData>
    <row r="1" spans="1:3">
      <c r="A1" t="s">
        <v>84</v>
      </c>
      <c r="B1" t="s">
        <v>104</v>
      </c>
      <c r="C1" t="s">
        <v>105</v>
      </c>
    </row>
    <row r="2" spans="1:3">
      <c r="A2">
        <v>1</v>
      </c>
      <c r="B2" s="3">
        <v>36685.036</v>
      </c>
      <c r="C2" s="3">
        <f>B2*2*1.5</f>
        <v>110055.108</v>
      </c>
    </row>
    <row r="3" spans="1:3">
      <c r="A3" t="s">
        <v>7</v>
      </c>
      <c r="B3" s="3">
        <f>650+470+473+689+675+469+473+676</f>
        <v>4575</v>
      </c>
      <c r="C3" s="3">
        <f t="shared" ref="C3:C14" si="0">B3*2*1.5</f>
        <v>13725</v>
      </c>
    </row>
    <row r="4" spans="1:3">
      <c r="A4" t="s">
        <v>8</v>
      </c>
      <c r="B4" s="3">
        <f>501+546+519+525</f>
        <v>2091</v>
      </c>
      <c r="C4" s="3">
        <f t="shared" si="0"/>
        <v>6273</v>
      </c>
    </row>
    <row r="5" spans="1:3">
      <c r="A5" t="s">
        <v>9</v>
      </c>
      <c r="B5" s="3">
        <f>425+448+433+437</f>
        <v>1743</v>
      </c>
      <c r="C5" s="3">
        <f t="shared" si="0"/>
        <v>5229</v>
      </c>
    </row>
    <row r="6" spans="1:3">
      <c r="A6" t="s">
        <v>10</v>
      </c>
      <c r="B6" s="3">
        <f>449+447+449+451</f>
        <v>1796</v>
      </c>
      <c r="C6" s="3">
        <f t="shared" si="0"/>
        <v>5388</v>
      </c>
    </row>
    <row r="7" spans="1:3">
      <c r="A7" t="s">
        <v>11</v>
      </c>
      <c r="B7" s="3">
        <f>683+333+1126.516+305+452</f>
        <v>2899.516</v>
      </c>
      <c r="C7" s="3">
        <f t="shared" si="0"/>
        <v>8698.548</v>
      </c>
    </row>
    <row r="8" spans="1:3">
      <c r="A8">
        <v>2</v>
      </c>
      <c r="B8" s="3">
        <v>13708.711</v>
      </c>
      <c r="C8" s="3">
        <f t="shared" si="0"/>
        <v>41126.133</v>
      </c>
    </row>
    <row r="9" spans="1:3">
      <c r="A9">
        <v>3</v>
      </c>
      <c r="B9" s="3">
        <v>1603.053</v>
      </c>
      <c r="C9" s="3">
        <f t="shared" si="0"/>
        <v>4809.159</v>
      </c>
    </row>
    <row r="10" spans="1:3">
      <c r="A10">
        <v>4</v>
      </c>
      <c r="B10" s="3">
        <v>1598.784</v>
      </c>
      <c r="C10" s="3">
        <f t="shared" si="0"/>
        <v>4796.352</v>
      </c>
    </row>
    <row r="11" spans="1:3">
      <c r="A11">
        <v>5</v>
      </c>
      <c r="B11" s="3">
        <v>682.997</v>
      </c>
      <c r="C11" s="3">
        <f t="shared" si="0"/>
        <v>2048.991</v>
      </c>
    </row>
    <row r="12" spans="1:3">
      <c r="A12">
        <v>8</v>
      </c>
      <c r="B12" s="3">
        <v>1126.516</v>
      </c>
      <c r="C12" s="3">
        <f t="shared" si="0"/>
        <v>3379.548</v>
      </c>
    </row>
    <row r="13" spans="1:3">
      <c r="A13">
        <v>9</v>
      </c>
      <c r="B13" s="3">
        <v>1677.097</v>
      </c>
      <c r="C13" s="3">
        <f t="shared" si="0"/>
        <v>5031.291</v>
      </c>
    </row>
    <row r="14" spans="1:3">
      <c r="A14">
        <v>10</v>
      </c>
      <c r="B14" s="3">
        <v>332.519</v>
      </c>
      <c r="C14" s="3">
        <f t="shared" si="0"/>
        <v>997.557</v>
      </c>
    </row>
    <row r="15" spans="1:3">
      <c r="B15" s="3">
        <f>SUM(B2:B14)</f>
        <v>70519.229</v>
      </c>
      <c r="C15" s="3">
        <f>SUM(C2:C14)</f>
        <v>211557.687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23" sqref="H23"/>
    </sheetView>
  </sheetViews>
  <sheetFormatPr defaultColWidth="9" defaultRowHeight="14.25" outlineLevelCol="7"/>
  <cols>
    <col min="1" max="1" width="15" customWidth="1"/>
    <col min="2" max="2" width="12.625" customWidth="1"/>
    <col min="3" max="3" width="19.375" customWidth="1"/>
    <col min="4" max="4" width="13.125" customWidth="1"/>
    <col min="5" max="5" width="14.125" customWidth="1"/>
    <col min="6" max="6" width="11.25" customWidth="1"/>
    <col min="7" max="7" width="12.5" customWidth="1"/>
    <col min="8" max="9" width="11" customWidth="1"/>
  </cols>
  <sheetData>
    <row r="1" spans="1:8">
      <c r="A1" s="1" t="s">
        <v>84</v>
      </c>
      <c r="B1" s="1" t="s">
        <v>104</v>
      </c>
      <c r="C1" s="1" t="s">
        <v>106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</row>
    <row r="2" spans="1:8">
      <c r="A2" s="1">
        <v>1</v>
      </c>
      <c r="B2" s="2">
        <v>36685.036</v>
      </c>
      <c r="C2" s="2"/>
      <c r="D2" s="1">
        <f>478*1.5</f>
        <v>717</v>
      </c>
      <c r="E2" s="1">
        <f>(4662+838+13)*2</f>
        <v>11026</v>
      </c>
      <c r="F2" s="1">
        <f>37*2</f>
        <v>74</v>
      </c>
      <c r="G2" s="1">
        <f>36.6*9*2</f>
        <v>658.8</v>
      </c>
      <c r="H2" s="1">
        <f>B2/200*2</f>
        <v>366.85036</v>
      </c>
    </row>
    <row r="3" spans="1:8">
      <c r="A3" s="1" t="s">
        <v>7</v>
      </c>
      <c r="B3" s="2">
        <f>650+470+473+689+675+469+473+676</f>
        <v>4575</v>
      </c>
      <c r="C3" s="2">
        <v>8</v>
      </c>
      <c r="D3" s="1">
        <f>1397*1.5</f>
        <v>2095.5</v>
      </c>
      <c r="E3" s="1"/>
      <c r="F3" s="1"/>
      <c r="G3" s="1"/>
      <c r="H3" s="1">
        <f t="shared" ref="H3:H14" si="0">B3/200*2</f>
        <v>45.75</v>
      </c>
    </row>
    <row r="4" spans="1:8">
      <c r="A4" s="1" t="s">
        <v>8</v>
      </c>
      <c r="B4" s="2">
        <f>501+546+519+525</f>
        <v>2091</v>
      </c>
      <c r="C4" s="2">
        <v>4</v>
      </c>
      <c r="D4" s="1">
        <f t="shared" ref="D4:D6" si="1">525*1.5</f>
        <v>787.5</v>
      </c>
      <c r="E4" s="1"/>
      <c r="F4" s="1"/>
      <c r="G4" s="1"/>
      <c r="H4" s="1">
        <f t="shared" si="0"/>
        <v>20.91</v>
      </c>
    </row>
    <row r="5" spans="1:8">
      <c r="A5" s="1" t="s">
        <v>9</v>
      </c>
      <c r="B5" s="2">
        <f>425+448+433+437</f>
        <v>1743</v>
      </c>
      <c r="C5" s="2">
        <v>4</v>
      </c>
      <c r="D5" s="1">
        <f t="shared" si="1"/>
        <v>787.5</v>
      </c>
      <c r="E5" s="1"/>
      <c r="F5" s="1"/>
      <c r="G5" s="1"/>
      <c r="H5" s="1">
        <f t="shared" si="0"/>
        <v>17.43</v>
      </c>
    </row>
    <row r="6" spans="1:8">
      <c r="A6" s="1" t="s">
        <v>10</v>
      </c>
      <c r="B6" s="2">
        <f>449+447+449+451</f>
        <v>1796</v>
      </c>
      <c r="C6" s="2">
        <v>4</v>
      </c>
      <c r="D6" s="1">
        <f t="shared" si="1"/>
        <v>787.5</v>
      </c>
      <c r="E6" s="1"/>
      <c r="F6" s="1"/>
      <c r="G6" s="1"/>
      <c r="H6" s="1">
        <f t="shared" si="0"/>
        <v>17.96</v>
      </c>
    </row>
    <row r="7" spans="1:8">
      <c r="A7" s="1" t="s">
        <v>11</v>
      </c>
      <c r="B7" s="2">
        <f>683+333+1126.516+305+452</f>
        <v>2899.516</v>
      </c>
      <c r="C7" s="2">
        <v>5</v>
      </c>
      <c r="D7" s="1">
        <f>968*1.5</f>
        <v>1452</v>
      </c>
      <c r="E7" s="1"/>
      <c r="F7" s="1"/>
      <c r="G7" s="1"/>
      <c r="H7" s="1">
        <f t="shared" si="0"/>
        <v>28.99516</v>
      </c>
    </row>
    <row r="8" spans="1:8">
      <c r="A8" s="1">
        <v>2</v>
      </c>
      <c r="B8" s="2">
        <v>13708.711</v>
      </c>
      <c r="C8" s="2"/>
      <c r="D8" s="1"/>
      <c r="E8" s="1">
        <f>1156*2</f>
        <v>2312</v>
      </c>
      <c r="F8" s="1">
        <f>15*2</f>
        <v>30</v>
      </c>
      <c r="G8" s="1">
        <f>15*9*2</f>
        <v>270</v>
      </c>
      <c r="H8" s="1">
        <f t="shared" si="0"/>
        <v>137.08711</v>
      </c>
    </row>
    <row r="9" spans="1:8">
      <c r="A9" s="1">
        <v>3</v>
      </c>
      <c r="B9" s="2">
        <v>1603.053</v>
      </c>
      <c r="C9" s="2"/>
      <c r="D9" s="1"/>
      <c r="E9" s="1">
        <f>98*2</f>
        <v>196</v>
      </c>
      <c r="F9" s="1">
        <f t="shared" ref="F9:F12" si="2">2*2</f>
        <v>4</v>
      </c>
      <c r="G9" s="1">
        <f>11*2</f>
        <v>22</v>
      </c>
      <c r="H9" s="1">
        <f t="shared" si="0"/>
        <v>16.03053</v>
      </c>
    </row>
    <row r="10" spans="1:8">
      <c r="A10" s="1">
        <v>4</v>
      </c>
      <c r="B10" s="2">
        <v>1598.784</v>
      </c>
      <c r="C10" s="2"/>
      <c r="D10" s="1"/>
      <c r="E10" s="1"/>
      <c r="F10" s="1">
        <f t="shared" si="2"/>
        <v>4</v>
      </c>
      <c r="G10" s="1">
        <f>11*2</f>
        <v>22</v>
      </c>
      <c r="H10" s="1">
        <f t="shared" si="0"/>
        <v>15.98784</v>
      </c>
    </row>
    <row r="11" spans="1:8">
      <c r="A11" s="1">
        <v>5</v>
      </c>
      <c r="B11" s="2">
        <v>682.997</v>
      </c>
      <c r="C11" s="2"/>
      <c r="D11" s="1"/>
      <c r="E11" s="1"/>
      <c r="F11" s="1">
        <v>2</v>
      </c>
      <c r="G11" s="1">
        <f>6*2</f>
        <v>12</v>
      </c>
      <c r="H11" s="1">
        <f t="shared" si="0"/>
        <v>6.82997</v>
      </c>
    </row>
    <row r="12" spans="1:8">
      <c r="A12" s="1">
        <v>8</v>
      </c>
      <c r="B12" s="2">
        <v>1126.516</v>
      </c>
      <c r="C12" s="2"/>
      <c r="D12" s="1"/>
      <c r="E12" s="1"/>
      <c r="F12" s="1">
        <f t="shared" si="2"/>
        <v>4</v>
      </c>
      <c r="G12" s="1">
        <f>10*2</f>
        <v>20</v>
      </c>
      <c r="H12" s="1">
        <f t="shared" si="0"/>
        <v>11.26516</v>
      </c>
    </row>
    <row r="13" spans="1:8">
      <c r="A13" s="1">
        <v>9</v>
      </c>
      <c r="B13" s="2">
        <v>1677.097</v>
      </c>
      <c r="C13" s="2"/>
      <c r="D13" s="1"/>
      <c r="E13" s="1"/>
      <c r="F13" s="1">
        <v>2</v>
      </c>
      <c r="G13" s="1">
        <f>3*2</f>
        <v>6</v>
      </c>
      <c r="H13" s="1">
        <f t="shared" si="0"/>
        <v>16.77097</v>
      </c>
    </row>
    <row r="14" spans="1:8">
      <c r="A14" s="1">
        <v>10</v>
      </c>
      <c r="B14" s="2">
        <v>332.519</v>
      </c>
      <c r="C14" s="2"/>
      <c r="D14" s="1"/>
      <c r="E14" s="1"/>
      <c r="F14" s="1"/>
      <c r="G14" s="1"/>
      <c r="H14" s="1">
        <f t="shared" si="0"/>
        <v>3.32519</v>
      </c>
    </row>
    <row r="15" customFormat="1" spans="1:8">
      <c r="A15" s="1"/>
      <c r="B15" s="2">
        <f t="shared" ref="B15:H15" si="3">SUM(B2:B14)</f>
        <v>70519.229</v>
      </c>
      <c r="C15" s="2">
        <f t="shared" si="3"/>
        <v>25</v>
      </c>
      <c r="D15" s="2">
        <f t="shared" si="3"/>
        <v>6627</v>
      </c>
      <c r="E15" s="2">
        <f>SUM(E2:E14)</f>
        <v>13534</v>
      </c>
      <c r="F15" s="2">
        <f t="shared" si="3"/>
        <v>120</v>
      </c>
      <c r="G15" s="2">
        <f t="shared" si="3"/>
        <v>1010.8</v>
      </c>
      <c r="H15" s="2">
        <f t="shared" si="3"/>
        <v>705.19229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标志</vt:lpstr>
      <vt:lpstr>标线</vt:lpstr>
      <vt:lpstr>护栏</vt:lpstr>
      <vt:lpstr>轮廓标</vt:lpstr>
      <vt:lpstr>防眩板</vt:lpstr>
      <vt:lpstr>隔离栅</vt:lpstr>
      <vt:lpstr>其他安全设施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</dc:creator>
  <cp:lastModifiedBy>hc</cp:lastModifiedBy>
  <dcterms:created xsi:type="dcterms:W3CDTF">2015-06-05T18:19:00Z</dcterms:created>
  <dcterms:modified xsi:type="dcterms:W3CDTF">2026-08-17T09:22:57Z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59632AD5DE4648419FE8A0E1817DAC06_13</vt:lpwstr>
  </property>
  <property fmtid="{D5CDD505-2E9C-101B-9397-08002B2CF9AE}" pid="3" name="KSOProductBuildVer">
    <vt:lpwstr>2052-12.1.0.23542</vt:lpwstr>
  </property>
</Properties>
</file>